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51323792-3ACC-42E5-A30A-BBBA4EAC4233}" xr6:coauthVersionLast="47" xr6:coauthVersionMax="47" xr10:uidLastSave="{00000000-0000-0000-0000-000000000000}"/>
  <bookViews>
    <workbookView xWindow="-108" yWindow="-108" windowWidth="23256" windowHeight="12456" tabRatio="901" firstSheet="4" activeTab="11"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heet1" sheetId="170" r:id="rId10"/>
    <sheet name="Sheet2" sheetId="171" r:id="rId11"/>
    <sheet name="Sheet3"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P46" i="172" l="1"/>
  <c r="S47" i="172" s="1"/>
  <c r="S48" i="172" s="1"/>
  <c r="V50" i="172" s="1"/>
  <c r="Z46" i="172" s="1"/>
  <c r="W45" i="172"/>
  <c r="P32" i="172"/>
  <c r="O30" i="172"/>
  <c r="O29" i="172"/>
  <c r="V28" i="172"/>
  <c r="U28" i="172"/>
  <c r="T28" i="172"/>
  <c r="Q28" i="172"/>
  <c r="N28" i="172"/>
  <c r="P27" i="172"/>
  <c r="O25" i="172"/>
  <c r="O24" i="172"/>
  <c r="V23" i="172"/>
  <c r="U23" i="172"/>
  <c r="T23" i="172"/>
  <c r="Q23" i="172"/>
  <c r="N23" i="172"/>
  <c r="P22" i="172"/>
  <c r="O20" i="172"/>
  <c r="O19" i="172"/>
  <c r="V18" i="172"/>
  <c r="U18" i="172"/>
  <c r="T18" i="172"/>
  <c r="Q18" i="172"/>
  <c r="N18" i="172"/>
  <c r="P17" i="172"/>
  <c r="O15" i="172"/>
  <c r="O14" i="172"/>
  <c r="V13" i="172"/>
  <c r="U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6" i="172" l="1"/>
  <c r="O31" i="172"/>
  <c r="O21"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4" i="154" l="1"/>
  <c r="Q46" i="154" s="1"/>
  <c r="K40" i="154" l="1"/>
  <c r="K39" i="154"/>
  <c r="K38" i="154"/>
  <c r="S32" i="154"/>
  <c r="S34" i="154" s="1"/>
  <c r="I32"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6"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<sst xmlns="http://schemas.openxmlformats.org/spreadsheetml/2006/main" count="2459" uniqueCount="703">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</sst>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166" fontId="17" fillId="3" borderId="0" xfId="1" applyNumberFormat="1" applyFont="1" applyBorder="1" applyAlignment="1">
      <alignment horizontal="left"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555267</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126953</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29</xdr:row>
      <xdr:rowOff>114300</xdr:rowOff>
    </xdr:from>
    <xdr:to>
      <xdr:col>41</xdr:col>
      <xdr:colOff>198120</xdr:colOff>
      <xdr:row>54</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zoomScale="60" workbookViewId="0">
      <selection activeCell="M25" sqref="M25"/>
    </sheetView>
  </sheetViews>
  <sheetFormatPr defaultRowHeight="13.2" x14ac:dyDescent="0.25"/>
  <cols>
    <col min="6" max="6" width="13.44140625" bestFit="1"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x14ac:dyDescent="0.25">
      <c r="F15" t="s">
        <v>647</v>
      </c>
      <c r="I15" s="93"/>
      <c r="J15" s="93">
        <v>2025</v>
      </c>
      <c r="K15" s="93"/>
      <c r="M15">
        <v>1500</v>
      </c>
      <c r="P15" s="95"/>
      <c r="U15" s="26"/>
      <c r="Z15" s="30"/>
      <c r="AA15" s="30"/>
      <c r="AB15" s="30"/>
      <c r="AC15" s="30"/>
      <c r="AD15" s="30"/>
      <c r="AE15" s="30"/>
      <c r="AF15" s="30"/>
      <c r="AG15" s="30"/>
    </row>
    <row r="16" spans="4:33" ht="42" thickBot="1" x14ac:dyDescent="0.3">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s="32" t="s">
        <v>35</v>
      </c>
      <c r="AA16" s="32" t="s">
        <v>21</v>
      </c>
      <c r="AB16" s="32" t="s">
        <v>22</v>
      </c>
      <c r="AC16" s="32" t="s">
        <v>23</v>
      </c>
      <c r="AD16" s="32" t="s">
        <v>24</v>
      </c>
      <c r="AE16" s="32" t="s">
        <v>40</v>
      </c>
      <c r="AF16" s="32" t="s">
        <v>39</v>
      </c>
      <c r="AG16" s="32" t="s">
        <v>25</v>
      </c>
    </row>
    <row r="17" spans="6:33" ht="13.8" thickBot="1" x14ac:dyDescent="0.3">
      <c r="F17" s="93" t="s">
        <v>160</v>
      </c>
      <c r="I17" s="93" t="s">
        <v>521</v>
      </c>
      <c r="J17" s="93">
        <v>2030</v>
      </c>
      <c r="M17">
        <f>'403.b Solid Direct air capture'!D10*1000*0.0000036</f>
        <v>5.3999999999999994E-3</v>
      </c>
      <c r="N17">
        <f>'403.b Solid Direct air capture'!D18*1000*0.0000036</f>
        <v>3.5999999999999999E-3</v>
      </c>
      <c r="P17" s="95"/>
      <c r="U17" s="26"/>
      <c r="Z17" s="32" t="s">
        <v>47</v>
      </c>
      <c r="AA17" s="32"/>
      <c r="AB17" s="32"/>
      <c r="AC17" s="32"/>
      <c r="AD17" s="32"/>
      <c r="AE17" s="32"/>
      <c r="AF17" s="32"/>
      <c r="AG17" s="32"/>
    </row>
    <row r="18" spans="6:33" x14ac:dyDescent="0.25">
      <c r="F18" t="s">
        <v>647</v>
      </c>
      <c r="I18" s="93"/>
      <c r="J18" s="93">
        <v>2030</v>
      </c>
      <c r="M18">
        <v>1500</v>
      </c>
      <c r="P18" s="95"/>
      <c r="U18" s="26"/>
      <c r="Z18" s="390"/>
      <c r="AA18" s="390"/>
      <c r="AB18" s="390"/>
      <c r="AC18" s="390"/>
      <c r="AD18" s="390"/>
      <c r="AE18" s="390"/>
      <c r="AF18" s="390"/>
      <c r="AG18" s="390"/>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c r="Z19" t="s">
        <v>60</v>
      </c>
      <c r="AA19" t="s">
        <v>510</v>
      </c>
      <c r="AB19" t="s">
        <v>511</v>
      </c>
      <c r="AC19" s="92" t="s">
        <v>513</v>
      </c>
      <c r="AD19" s="92" t="s">
        <v>519</v>
      </c>
      <c r="AE19" s="93" t="s">
        <v>224</v>
      </c>
      <c r="AF19" t="s">
        <v>508</v>
      </c>
      <c r="AG19" s="92" t="s">
        <v>244</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v>1500</v>
      </c>
    </row>
    <row r="32" spans="6:33" x14ac:dyDescent="0.25">
      <c r="U32">
        <v>1.5</v>
      </c>
      <c r="V32" t="s">
        <v>685</v>
      </c>
    </row>
    <row r="35" spans="21:22" x14ac:dyDescent="0.25">
      <c r="U35">
        <f>U32*1000000/1000</f>
        <v>1500</v>
      </c>
      <c r="V35"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Z2" sqref="Z2"/>
    </sheetView>
  </sheetViews>
  <sheetFormatPr defaultRowHeight="13.2" x14ac:dyDescent="0.25"/>
  <cols>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ht="13.8" thickBot="1" x14ac:dyDescent="0.3">
      <c r="F14" t="s">
        <v>647</v>
      </c>
      <c r="I14" s="93">
        <v>2025</v>
      </c>
      <c r="L14">
        <f>R53</f>
        <v>3216.0814363276982</v>
      </c>
      <c r="Y14" s="32"/>
      <c r="Z14" s="32"/>
      <c r="AA14" s="32"/>
      <c r="AB14" s="32"/>
      <c r="AC14" s="32"/>
      <c r="AD14" s="32"/>
      <c r="AE14" s="32"/>
      <c r="AF14" s="32"/>
    </row>
    <row r="15" spans="3:32" ht="13.8" thickBot="1" x14ac:dyDescent="0.3">
      <c r="H15" s="93" t="s">
        <v>160</v>
      </c>
      <c r="I15" s="93">
        <v>2025</v>
      </c>
      <c r="M15">
        <f>SUM('98 Methanol from Hydrogen'!D17:D18)/'98 Methanol from Hydrogen'!D16</f>
        <v>0.28205128205128205</v>
      </c>
      <c r="O15" s="95"/>
      <c r="T15" s="26"/>
      <c r="Y15" s="32" t="s">
        <v>47</v>
      </c>
      <c r="Z15" s="32"/>
      <c r="AA15" s="32"/>
      <c r="AB15" s="32"/>
      <c r="AC15" s="32"/>
      <c r="AD15" s="32"/>
      <c r="AE15" s="32"/>
      <c r="AF15" s="32"/>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c r="Y16" t="s">
        <v>702</v>
      </c>
      <c r="Z16" t="s">
        <v>502</v>
      </c>
      <c r="AA16" t="s">
        <v>503</v>
      </c>
      <c r="AB16" s="92" t="s">
        <v>45</v>
      </c>
      <c r="AC16" s="92" t="s">
        <v>62</v>
      </c>
      <c r="AD16" s="93" t="s">
        <v>224</v>
      </c>
      <c r="AE16" s="93" t="s">
        <v>500</v>
      </c>
      <c r="AF16" s="92" t="s">
        <v>244</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40" t="s">
        <v>299</v>
      </c>
      <c r="K38" s="341">
        <v>2020</v>
      </c>
      <c r="L38" s="341">
        <v>2025</v>
      </c>
      <c r="M38" s="341">
        <v>2030</v>
      </c>
      <c r="N38" s="341">
        <v>2040</v>
      </c>
      <c r="O38" s="341">
        <v>2050</v>
      </c>
    </row>
    <row r="39" spans="10:22" ht="18.600000000000001" thickBot="1" x14ac:dyDescent="0.3">
      <c r="J39" s="342" t="s">
        <v>300</v>
      </c>
      <c r="K39" s="343" t="s">
        <v>301</v>
      </c>
      <c r="L39" s="343" t="s">
        <v>301</v>
      </c>
      <c r="M39" s="343" t="s">
        <v>301</v>
      </c>
      <c r="N39" s="343" t="s">
        <v>301</v>
      </c>
      <c r="O39" s="343" t="s">
        <v>301</v>
      </c>
    </row>
    <row r="40" spans="10:22" ht="18.600000000000001" thickBot="1" x14ac:dyDescent="0.3">
      <c r="J40" s="344" t="s">
        <v>304</v>
      </c>
      <c r="K40" s="345"/>
      <c r="L40" s="345"/>
      <c r="M40" s="345"/>
      <c r="N40" s="345"/>
      <c r="O40" s="345"/>
    </row>
    <row r="41" spans="10:22" ht="18.600000000000001" thickBot="1" x14ac:dyDescent="0.3">
      <c r="J41" s="346" t="s">
        <v>77</v>
      </c>
      <c r="K41" s="345"/>
      <c r="L41" s="345"/>
      <c r="M41" s="345"/>
      <c r="N41" s="345"/>
      <c r="O41" s="345"/>
    </row>
    <row r="42" spans="10:22" ht="18.600000000000001" thickBot="1" x14ac:dyDescent="0.3">
      <c r="J42" s="347" t="s">
        <v>392</v>
      </c>
      <c r="K42" s="348">
        <v>300</v>
      </c>
      <c r="L42" s="348">
        <v>300</v>
      </c>
      <c r="M42" s="348">
        <v>600</v>
      </c>
      <c r="N42" s="348">
        <v>900</v>
      </c>
      <c r="O42" s="348">
        <v>1200</v>
      </c>
    </row>
    <row r="43" spans="10:22" ht="18.600000000000001" thickBot="1" x14ac:dyDescent="0.3">
      <c r="J43" s="347" t="s">
        <v>393</v>
      </c>
      <c r="K43" s="348">
        <v>69</v>
      </c>
      <c r="L43" s="348">
        <v>69</v>
      </c>
      <c r="M43" s="348">
        <v>138</v>
      </c>
      <c r="N43" s="348">
        <v>207</v>
      </c>
      <c r="O43" s="348">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49"/>
      <c r="R51" s="349"/>
      <c r="S51" s="349"/>
      <c r="U51">
        <v>1</v>
      </c>
      <c r="V51" t="s">
        <v>516</v>
      </c>
    </row>
    <row r="52" spans="10:22" x14ac:dyDescent="0.25">
      <c r="M52" s="111"/>
      <c r="Q52" s="349"/>
      <c r="R52" s="349"/>
      <c r="S52" s="349"/>
      <c r="U52">
        <v>3.5999999999999998E-6</v>
      </c>
      <c r="V52" t="s">
        <v>517</v>
      </c>
    </row>
    <row r="53" spans="10:22" x14ac:dyDescent="0.25">
      <c r="Q53" s="349"/>
      <c r="R53" s="349">
        <f>U46/U49</f>
        <v>3216.0814363276982</v>
      </c>
      <c r="S53" s="350" t="s">
        <v>691</v>
      </c>
    </row>
    <row r="55" spans="10:22" x14ac:dyDescent="0.25">
      <c r="J55" s="351"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3"/>
  <sheetViews>
    <sheetView tabSelected="1" zoomScale="67" workbookViewId="0">
      <selection activeCell="L32" sqref="L32"/>
    </sheetView>
  </sheetViews>
  <sheetFormatPr defaultRowHeight="13.2" x14ac:dyDescent="0.25"/>
  <cols>
    <col min="6" max="6" width="8.88671875" customWidth="1"/>
    <col min="7" max="7" width="24.6640625" bestFit="1" customWidth="1"/>
    <col min="8" max="8" width="8.8867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t="e">
        <f>'102 Hydrogen to Jet'!B23/1000*8760*#REF!</f>
        <v>#REF!</v>
      </c>
      <c r="V13">
        <f>'102 Hydrogen to Jet'!B24/('102 Hydrogen to Jet'!$S$11*1000000)</f>
        <v>1.5655611111111112</v>
      </c>
      <c r="W13" s="26">
        <v>2</v>
      </c>
      <c r="AB13" s="28" t="s">
        <v>15</v>
      </c>
      <c r="AC13" s="29"/>
      <c r="AD13" s="29"/>
      <c r="AE13" s="29"/>
      <c r="AF13" s="29"/>
      <c r="AG13" s="29"/>
      <c r="AH13" s="29"/>
      <c r="AI13" s="29"/>
    </row>
    <row r="14" spans="6:35" x14ac:dyDescent="0.25">
      <c r="H14" t="s">
        <v>41</v>
      </c>
      <c r="L14" s="93">
        <v>2020</v>
      </c>
      <c r="M14" s="93"/>
      <c r="O14">
        <f>'102 Hydrogen to Jet'!B11/'102 Hydrogen to Jet'!B13</f>
        <v>7.6923076923076919E-3</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3.8" thickBot="1" x14ac:dyDescent="0.3">
      <c r="H16" t="s">
        <v>647</v>
      </c>
      <c r="L16" s="93">
        <v>2020</v>
      </c>
      <c r="O16">
        <f>Z46</f>
        <v>22133.852811331566</v>
      </c>
      <c r="R16" s="95"/>
      <c r="W16" s="26"/>
      <c r="AB16" s="32"/>
      <c r="AC16" s="32"/>
      <c r="AD16" s="32"/>
      <c r="AE16" s="32"/>
      <c r="AF16" s="32"/>
      <c r="AG16" s="32"/>
      <c r="AH16" s="32"/>
      <c r="AI16" s="32"/>
    </row>
    <row r="17" spans="8:35" ht="13.8" thickBot="1" x14ac:dyDescent="0.3">
      <c r="K17" s="93" t="s">
        <v>160</v>
      </c>
      <c r="L17" s="93">
        <v>2020</v>
      </c>
      <c r="P17">
        <f>'102 Hydrogen to Jet'!B14/'102 Hydrogen to Jet'!B13</f>
        <v>0.38461538461538458</v>
      </c>
      <c r="R17" s="95"/>
      <c r="W17" s="26"/>
      <c r="AB17" s="32" t="s">
        <v>47</v>
      </c>
      <c r="AC17" s="32"/>
      <c r="AD17" s="32"/>
      <c r="AE17" s="32"/>
      <c r="AF17" s="32"/>
      <c r="AG17" s="32"/>
      <c r="AH17" s="32"/>
      <c r="AI17" s="32"/>
    </row>
    <row r="18" spans="8:35" ht="15.6" x14ac:dyDescent="0.3">
      <c r="I18" t="s">
        <v>180</v>
      </c>
      <c r="J18" t="s">
        <v>507</v>
      </c>
      <c r="L18" s="93">
        <v>2030</v>
      </c>
      <c r="N18">
        <f>'102 Hydrogen to Jet'!C13/'102 Hydrogen to Jet'!C10</f>
        <v>0.70351758793969843</v>
      </c>
      <c r="Q18">
        <f>49/52</f>
        <v>0.94230769230769229</v>
      </c>
      <c r="R18" s="95">
        <v>25</v>
      </c>
      <c r="S18" s="16">
        <v>31.536000000000001</v>
      </c>
      <c r="T18">
        <f>'102 Hydrogen to Jet'!C20*1000</f>
        <v>1701.4399999999998</v>
      </c>
      <c r="U18" t="e">
        <f>'102 Hydrogen to Jet'!C23/1000*8760*#REF!</f>
        <v>#REF!</v>
      </c>
      <c r="V18">
        <f>'102 Hydrogen to Jet'!C24/('102 Hydrogen to Jet'!$S$11*1000000)</f>
        <v>1.2406333333333333</v>
      </c>
      <c r="W18" s="26">
        <v>2</v>
      </c>
      <c r="AB18" t="s">
        <v>702</v>
      </c>
      <c r="AC18" s="246" t="s">
        <v>505</v>
      </c>
      <c r="AD18" s="247" t="s">
        <v>506</v>
      </c>
      <c r="AE18" s="92" t="s">
        <v>45</v>
      </c>
      <c r="AF18" s="92" t="s">
        <v>62</v>
      </c>
      <c r="AG18" s="93" t="s">
        <v>224</v>
      </c>
      <c r="AH18" t="s">
        <v>507</v>
      </c>
      <c r="AI18" s="92" t="s">
        <v>244</v>
      </c>
    </row>
    <row r="19" spans="8:35" x14ac:dyDescent="0.25">
      <c r="H19" t="s">
        <v>41</v>
      </c>
      <c r="L19" s="93">
        <v>2030</v>
      </c>
      <c r="O19">
        <f>'102 Hydrogen to Jet'!C11/'102 Hydrogen to Jet'!C13</f>
        <v>7.1428571428571435E-3</v>
      </c>
      <c r="R19" s="95"/>
      <c r="W19" s="26"/>
    </row>
    <row r="20" spans="8:35" x14ac:dyDescent="0.25">
      <c r="H20" t="s">
        <v>508</v>
      </c>
      <c r="L20" s="93">
        <v>2030</v>
      </c>
      <c r="O20">
        <f>'102 Hydrogen to Jet'!C9/('102 Hydrogen to Jet'!P13*1000)</f>
        <v>90.655509065550916</v>
      </c>
      <c r="R20" s="95"/>
      <c r="W20" s="26"/>
    </row>
    <row r="21" spans="8:35" x14ac:dyDescent="0.25">
      <c r="H21" t="s">
        <v>647</v>
      </c>
      <c r="L21" s="93">
        <v>2030</v>
      </c>
      <c r="O21">
        <f>Z46</f>
        <v>22133.852811331566</v>
      </c>
      <c r="R21" s="95"/>
      <c r="W21" s="26"/>
    </row>
    <row r="22" spans="8:35" x14ac:dyDescent="0.25">
      <c r="K22" s="93" t="s">
        <v>160</v>
      </c>
      <c r="L22" s="93">
        <v>2030</v>
      </c>
      <c r="P22">
        <f>'102 Hydrogen to Jet'!C14/'102 Hydrogen to Jet'!C13</f>
        <v>0.28571428571428575</v>
      </c>
    </row>
    <row r="23" spans="8:35" x14ac:dyDescent="0.25">
      <c r="I23" t="s">
        <v>180</v>
      </c>
      <c r="J23" t="s">
        <v>507</v>
      </c>
      <c r="L23" s="93">
        <v>2040</v>
      </c>
      <c r="N23">
        <f>'102 Hydrogen to Jet'!D13/'102 Hydrogen to Jet'!D10</f>
        <v>0.73366834170854267</v>
      </c>
      <c r="Q23">
        <f>49/52</f>
        <v>0.94230769230769229</v>
      </c>
      <c r="R23">
        <v>25</v>
      </c>
      <c r="S23" s="16">
        <v>31.536000000000001</v>
      </c>
      <c r="T23">
        <f>'102 Hydrogen to Jet'!D20*1000</f>
        <v>1169.74</v>
      </c>
      <c r="U23" t="e">
        <f>'102 Hydrogen to Jet'!D23/1000*8760*#REF!</f>
        <v>#REF!</v>
      </c>
      <c r="V23">
        <f>'102 Hydrogen to Jet'!D24/('102 Hydrogen to Jet'!$S$11*1000000)</f>
        <v>0.94524444444444444</v>
      </c>
      <c r="W23">
        <v>2</v>
      </c>
    </row>
    <row r="24" spans="8:35" x14ac:dyDescent="0.25">
      <c r="H24" t="s">
        <v>41</v>
      </c>
      <c r="L24" s="93">
        <v>2040</v>
      </c>
      <c r="O24">
        <f>'102 Hydrogen to Jet'!D11/'102 Hydrogen to Jet'!D13</f>
        <v>6.8493150684931512E-3</v>
      </c>
    </row>
    <row r="25" spans="8:35" x14ac:dyDescent="0.25">
      <c r="H25" t="s">
        <v>508</v>
      </c>
      <c r="L25" s="93">
        <v>2040</v>
      </c>
      <c r="O25">
        <f>'102 Hydrogen to Jet'!D9/('102 Hydrogen to Jet'!P13*1000)</f>
        <v>83.68200836820084</v>
      </c>
    </row>
    <row r="26" spans="8:35" x14ac:dyDescent="0.25">
      <c r="H26" t="s">
        <v>647</v>
      </c>
      <c r="L26" s="93">
        <v>2040</v>
      </c>
      <c r="O26">
        <f>Z46</f>
        <v>22133.852811331566</v>
      </c>
    </row>
    <row r="27" spans="8:35" x14ac:dyDescent="0.25">
      <c r="K27" s="93" t="s">
        <v>160</v>
      </c>
      <c r="L27" s="93">
        <v>2040</v>
      </c>
      <c r="P27">
        <f>'102 Hydrogen to Jet'!D14/'102 Hydrogen to Jet'!D13</f>
        <v>0.23287671232876714</v>
      </c>
    </row>
    <row r="28" spans="8:35" x14ac:dyDescent="0.25">
      <c r="I28" t="s">
        <v>180</v>
      </c>
      <c r="J28" t="s">
        <v>507</v>
      </c>
      <c r="L28" s="93">
        <v>2050</v>
      </c>
      <c r="N28">
        <f>'102 Hydrogen to Jet'!E13/'102 Hydrogen to Jet'!E10</f>
        <v>0.75376884422110557</v>
      </c>
      <c r="Q28">
        <f>49/52</f>
        <v>0.94230769230769229</v>
      </c>
      <c r="R28" s="95">
        <v>25</v>
      </c>
      <c r="S28" s="16">
        <v>31.536000000000001</v>
      </c>
      <c r="T28">
        <f>'102 Hydrogen to Jet'!E20*1000</f>
        <v>957.06</v>
      </c>
      <c r="U28" t="e">
        <f>'102 Hydrogen to Jet'!E23/1000*8760*#REF!</f>
        <v>#REF!</v>
      </c>
      <c r="V28">
        <f>'102 Hydrogen to Jet'!E24/('102 Hydrogen to Jet'!$S$11*1000000)</f>
        <v>0.62031666666666663</v>
      </c>
      <c r="W28">
        <v>2</v>
      </c>
    </row>
    <row r="29" spans="8:35" x14ac:dyDescent="0.25">
      <c r="H29" t="s">
        <v>41</v>
      </c>
      <c r="L29" s="93">
        <v>2050</v>
      </c>
      <c r="O29">
        <f>'102 Hydrogen to Jet'!E11/'102 Hydrogen to Jet'!E13</f>
        <v>6.6666666666666671E-3</v>
      </c>
    </row>
    <row r="30" spans="8:35" x14ac:dyDescent="0.25">
      <c r="H30" t="s">
        <v>508</v>
      </c>
      <c r="L30" s="93">
        <v>2050</v>
      </c>
      <c r="O30">
        <f>'102 Hydrogen to Jet'!E9/('102 Hydrogen to Jet'!P13*1000)</f>
        <v>76.708507670850764</v>
      </c>
    </row>
    <row r="31" spans="8:35" x14ac:dyDescent="0.25">
      <c r="H31" t="s">
        <v>647</v>
      </c>
      <c r="L31" s="93">
        <v>2050</v>
      </c>
      <c r="O31">
        <f>Z46</f>
        <v>22133.852811331566</v>
      </c>
    </row>
    <row r="32" spans="8:35" x14ac:dyDescent="0.25">
      <c r="K32" s="93" t="s">
        <v>160</v>
      </c>
      <c r="L32" s="93">
        <v>2050</v>
      </c>
      <c r="P32">
        <f>'102 Hydrogen to Jet'!E14/'102 Hydrogen to Jet'!E13</f>
        <v>0.19999999999999998</v>
      </c>
    </row>
    <row r="38" spans="15:27" x14ac:dyDescent="0.25">
      <c r="U38" s="111" t="s">
        <v>696</v>
      </c>
      <c r="V38">
        <v>0.754</v>
      </c>
      <c r="W38" s="111" t="s">
        <v>697</v>
      </c>
      <c r="Z38">
        <v>20</v>
      </c>
      <c r="AA38" s="111" t="s">
        <v>698</v>
      </c>
    </row>
    <row r="39" spans="15:27" x14ac:dyDescent="0.25">
      <c r="V39">
        <v>754</v>
      </c>
      <c r="W39" s="111" t="s">
        <v>699</v>
      </c>
    </row>
    <row r="40" spans="15:27" x14ac:dyDescent="0.25">
      <c r="P40">
        <v>4800</v>
      </c>
      <c r="Q40" s="111" t="s">
        <v>694</v>
      </c>
    </row>
    <row r="42" spans="15:27" x14ac:dyDescent="0.25">
      <c r="O42">
        <v>1</v>
      </c>
      <c r="P42" s="111" t="s">
        <v>694</v>
      </c>
      <c r="W42">
        <v>1E-3</v>
      </c>
      <c r="X42" s="111" t="s">
        <v>693</v>
      </c>
    </row>
    <row r="43" spans="15:27" x14ac:dyDescent="0.25">
      <c r="O43">
        <v>0.159</v>
      </c>
      <c r="P43" s="111" t="s">
        <v>695</v>
      </c>
    </row>
    <row r="45" spans="15:27" x14ac:dyDescent="0.25">
      <c r="W45">
        <f>W42*10000*1000</f>
        <v>10000</v>
      </c>
    </row>
    <row r="46" spans="15:27" x14ac:dyDescent="0.25">
      <c r="P46">
        <f>P40*O43</f>
        <v>763.2</v>
      </c>
      <c r="Q46" s="111" t="s">
        <v>695</v>
      </c>
      <c r="Z46">
        <f>Z38*10000/V50</f>
        <v>22133.852811331566</v>
      </c>
      <c r="AA46" s="111" t="s">
        <v>691</v>
      </c>
    </row>
    <row r="47" spans="15:27" x14ac:dyDescent="0.25">
      <c r="S47">
        <f>P46*V39</f>
        <v>575452.80000000005</v>
      </c>
    </row>
    <row r="48" spans="15:27" x14ac:dyDescent="0.25">
      <c r="S48">
        <f>S47/1000</f>
        <v>575.45280000000002</v>
      </c>
      <c r="T48" s="111" t="s">
        <v>688</v>
      </c>
    </row>
    <row r="50" spans="18:23" x14ac:dyDescent="0.25">
      <c r="V50">
        <f>R53*S48*365</f>
        <v>9.0359325014399996</v>
      </c>
      <c r="W50" s="111" t="s">
        <v>700</v>
      </c>
    </row>
    <row r="53" spans="18:23" x14ac:dyDescent="0.25">
      <c r="R53">
        <v>4.3019999999999998E-5</v>
      </c>
      <c r="S53"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A3" zoomScale="78" workbookViewId="0">
      <selection activeCell="AD34" sqref="AD34"/>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6"/>
  <sheetViews>
    <sheetView zoomScale="71" workbookViewId="0">
      <selection activeCell="M57" sqref="M57"/>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ht="13.8" thickBot="1" x14ac:dyDescent="0.3">
      <c r="B4" s="337"/>
      <c r="C4" s="338"/>
      <c r="E4" s="32" t="s">
        <v>47</v>
      </c>
      <c r="F4" s="34"/>
      <c r="G4" s="34"/>
      <c r="H4" s="34"/>
      <c r="I4" s="34"/>
      <c r="J4" s="34"/>
      <c r="K4" s="34"/>
    </row>
    <row r="5" spans="2:25" x14ac:dyDescent="0.25">
      <c r="E5" s="33" t="s">
        <v>43</v>
      </c>
      <c r="F5" s="33" t="s">
        <v>225</v>
      </c>
      <c r="G5" t="s">
        <v>226</v>
      </c>
      <c r="H5" s="33" t="s">
        <v>45</v>
      </c>
      <c r="I5" s="33" t="s">
        <v>224</v>
      </c>
      <c r="J5" s="33"/>
      <c r="K5" s="33"/>
    </row>
    <row r="6" spans="2:25" x14ac:dyDescent="0.25">
      <c r="B6" s="111"/>
      <c r="E6" s="33" t="s">
        <v>43</v>
      </c>
      <c r="F6" t="s">
        <v>227</v>
      </c>
      <c r="G6" t="s">
        <v>229</v>
      </c>
      <c r="H6" s="33" t="s">
        <v>45</v>
      </c>
      <c r="I6" s="33" t="s">
        <v>224</v>
      </c>
      <c r="J6" s="33"/>
      <c r="K6" s="33"/>
    </row>
    <row r="7" spans="2:25" x14ac:dyDescent="0.25">
      <c r="B7" s="111"/>
      <c r="E7" s="33" t="s">
        <v>43</v>
      </c>
      <c r="F7" t="s">
        <v>228</v>
      </c>
      <c r="G7" t="s">
        <v>230</v>
      </c>
      <c r="H7" s="33" t="s">
        <v>45</v>
      </c>
      <c r="I7" s="33" t="s">
        <v>224</v>
      </c>
      <c r="J7" s="33"/>
      <c r="K7" s="33"/>
      <c r="R7" s="28" t="s">
        <v>14</v>
      </c>
      <c r="S7" s="110"/>
      <c r="T7" s="110"/>
      <c r="U7" s="110"/>
      <c r="V7" s="110"/>
      <c r="W7" s="110"/>
      <c r="X7" s="110"/>
      <c r="Y7" s="110"/>
    </row>
    <row r="8" spans="2: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2: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2:25" x14ac:dyDescent="0.25">
      <c r="E10" s="33" t="s">
        <v>249</v>
      </c>
      <c r="F10" t="s">
        <v>600</v>
      </c>
      <c r="G10" t="s">
        <v>602</v>
      </c>
      <c r="H10" s="33" t="s">
        <v>513</v>
      </c>
      <c r="I10" s="33"/>
      <c r="R10" s="110" t="s">
        <v>44</v>
      </c>
      <c r="S10" t="s">
        <v>593</v>
      </c>
      <c r="T10" t="s">
        <v>624</v>
      </c>
      <c r="U10" t="s">
        <v>45</v>
      </c>
      <c r="V10" s="110"/>
      <c r="W10" s="110" t="s">
        <v>224</v>
      </c>
    </row>
    <row r="11" spans="2:25" x14ac:dyDescent="0.25">
      <c r="E11" s="33" t="s">
        <v>249</v>
      </c>
      <c r="F11" t="s">
        <v>601</v>
      </c>
      <c r="G11" t="s">
        <v>603</v>
      </c>
      <c r="H11" s="33" t="s">
        <v>45</v>
      </c>
      <c r="I11" s="33"/>
      <c r="R11" s="110" t="s">
        <v>44</v>
      </c>
      <c r="S11" t="s">
        <v>594</v>
      </c>
      <c r="T11" t="s">
        <v>625</v>
      </c>
      <c r="U11" t="s">
        <v>45</v>
      </c>
      <c r="V11" s="110"/>
      <c r="W11" s="110" t="s">
        <v>224</v>
      </c>
    </row>
    <row r="12" spans="2:25" x14ac:dyDescent="0.25">
      <c r="E12" s="33" t="s">
        <v>249</v>
      </c>
      <c r="F12" s="111" t="s">
        <v>664</v>
      </c>
      <c r="G12" s="111" t="s">
        <v>668</v>
      </c>
      <c r="H12" t="s">
        <v>648</v>
      </c>
      <c r="R12" s="110" t="s">
        <v>44</v>
      </c>
      <c r="S12" t="s">
        <v>595</v>
      </c>
      <c r="T12" t="s">
        <v>626</v>
      </c>
      <c r="U12" t="s">
        <v>45</v>
      </c>
      <c r="V12" s="110"/>
      <c r="W12" s="110" t="s">
        <v>224</v>
      </c>
    </row>
    <row r="13" spans="2:25" x14ac:dyDescent="0.25">
      <c r="E13" s="33" t="s">
        <v>249</v>
      </c>
      <c r="F13" s="111" t="s">
        <v>665</v>
      </c>
      <c r="G13" s="111" t="s">
        <v>669</v>
      </c>
      <c r="H13" t="s">
        <v>649</v>
      </c>
      <c r="R13" s="110" t="s">
        <v>44</v>
      </c>
      <c r="S13" t="s">
        <v>609</v>
      </c>
      <c r="T13" t="s">
        <v>602</v>
      </c>
      <c r="U13" t="s">
        <v>513</v>
      </c>
      <c r="V13" s="110"/>
      <c r="W13" s="110" t="s">
        <v>224</v>
      </c>
    </row>
    <row r="14" spans="2:25" x14ac:dyDescent="0.25">
      <c r="E14" s="33" t="s">
        <v>249</v>
      </c>
      <c r="F14" s="111" t="s">
        <v>666</v>
      </c>
      <c r="G14" s="111" t="s">
        <v>670</v>
      </c>
      <c r="H14" t="s">
        <v>648</v>
      </c>
      <c r="R14" s="110" t="s">
        <v>44</v>
      </c>
      <c r="S14" t="s">
        <v>610</v>
      </c>
      <c r="T14" t="s">
        <v>627</v>
      </c>
      <c r="U14" t="s">
        <v>45</v>
      </c>
      <c r="V14" s="110"/>
      <c r="W14" s="110" t="s">
        <v>224</v>
      </c>
    </row>
    <row r="15" spans="2:25" x14ac:dyDescent="0.25">
      <c r="E15" s="33" t="s">
        <v>249</v>
      </c>
      <c r="F15" s="111" t="s">
        <v>667</v>
      </c>
      <c r="G15" s="111" t="s">
        <v>671</v>
      </c>
      <c r="H15" t="s">
        <v>648</v>
      </c>
      <c r="R15" s="110" t="s">
        <v>44</v>
      </c>
      <c r="S15" t="s">
        <v>607</v>
      </c>
      <c r="T15" t="s">
        <v>628</v>
      </c>
      <c r="U15" t="s">
        <v>45</v>
      </c>
      <c r="V15" s="110"/>
      <c r="W15" s="110" t="s">
        <v>224</v>
      </c>
    </row>
    <row r="16" spans="2: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K43">
        <v>0</v>
      </c>
      <c r="L43">
        <v>2030</v>
      </c>
    </row>
    <row r="44" spans="6:20" x14ac:dyDescent="0.25">
      <c r="F44" s="111" t="s">
        <v>665</v>
      </c>
      <c r="H44" t="s">
        <v>640</v>
      </c>
      <c r="K44">
        <v>0</v>
      </c>
      <c r="L44">
        <v>2030</v>
      </c>
      <c r="Q44">
        <f>Q42/0.000001</f>
        <v>90000000</v>
      </c>
      <c r="R44" s="111" t="s">
        <v>619</v>
      </c>
    </row>
    <row r="45" spans="6:20" x14ac:dyDescent="0.25">
      <c r="F45" s="111" t="s">
        <v>666</v>
      </c>
      <c r="H45" t="s">
        <v>641</v>
      </c>
      <c r="K45">
        <v>0</v>
      </c>
      <c r="L45">
        <v>2030</v>
      </c>
    </row>
    <row r="46" spans="6:20" x14ac:dyDescent="0.25">
      <c r="F46" s="111" t="s">
        <v>667</v>
      </c>
      <c r="H46" t="s">
        <v>642</v>
      </c>
      <c r="K46">
        <v>0</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I18" sqref="I18"/>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4" t="s">
        <v>72</v>
      </c>
      <c r="D3" s="355"/>
      <c r="E3" s="355"/>
      <c r="F3" s="355"/>
      <c r="G3" s="355"/>
      <c r="H3" s="355"/>
      <c r="I3" s="355"/>
      <c r="J3" s="355"/>
      <c r="K3" s="355"/>
      <c r="L3" s="355"/>
    </row>
    <row r="4" spans="1:13" ht="13.2" customHeight="1" x14ac:dyDescent="0.25">
      <c r="A4" s="37"/>
      <c r="B4" s="39"/>
      <c r="C4" s="40">
        <v>2020</v>
      </c>
      <c r="D4" s="40">
        <v>2030</v>
      </c>
      <c r="E4" s="40">
        <v>2040</v>
      </c>
      <c r="F4" s="40">
        <v>2050</v>
      </c>
      <c r="G4" s="356" t="s">
        <v>73</v>
      </c>
      <c r="H4" s="356"/>
      <c r="I4" s="356" t="s">
        <v>74</v>
      </c>
      <c r="J4" s="356"/>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2"/>
      <c r="B43" s="352"/>
      <c r="C43" s="352"/>
      <c r="D43" s="352"/>
      <c r="E43" s="352"/>
      <c r="F43" s="352"/>
      <c r="G43" s="352"/>
      <c r="H43" s="352"/>
      <c r="I43" s="352"/>
      <c r="J43" s="69"/>
      <c r="K43" s="70"/>
      <c r="L43" s="352"/>
      <c r="M43" s="352"/>
    </row>
    <row r="44" spans="1:14" x14ac:dyDescent="0.25">
      <c r="A44" s="70"/>
      <c r="C44" s="352"/>
      <c r="D44" s="353"/>
      <c r="E44" s="353"/>
      <c r="F44" s="353"/>
      <c r="G44" s="353"/>
      <c r="H44" s="353"/>
      <c r="I44" s="353"/>
      <c r="J44" s="353"/>
      <c r="K44" s="353"/>
      <c r="L44" s="352"/>
      <c r="M44" s="352"/>
    </row>
    <row r="45" spans="1:14" x14ac:dyDescent="0.25">
      <c r="A45" s="71"/>
      <c r="B45" s="352"/>
      <c r="C45" s="353"/>
      <c r="D45" s="353"/>
      <c r="E45" s="353"/>
      <c r="F45" s="353"/>
      <c r="G45" s="353"/>
      <c r="H45" s="353"/>
      <c r="I45" s="353"/>
      <c r="J45" s="353"/>
      <c r="K45" s="70"/>
      <c r="L45" s="352"/>
      <c r="M45" s="352"/>
    </row>
    <row r="46" spans="1:14" x14ac:dyDescent="0.25">
      <c r="A46" s="70"/>
      <c r="C46" s="352"/>
      <c r="D46" s="353"/>
      <c r="E46" s="353"/>
      <c r="F46" s="353"/>
      <c r="G46" s="353"/>
      <c r="H46" s="353"/>
      <c r="I46" s="353"/>
      <c r="J46" s="353"/>
      <c r="K46" s="353"/>
      <c r="L46" s="352"/>
      <c r="M46" s="352"/>
    </row>
    <row r="47" spans="1:14" x14ac:dyDescent="0.25">
      <c r="A47" s="70"/>
      <c r="B47" s="352"/>
      <c r="C47" s="353"/>
      <c r="D47" s="353"/>
      <c r="E47" s="353"/>
      <c r="F47" s="353"/>
      <c r="G47" s="353"/>
      <c r="H47" s="353"/>
      <c r="I47" s="353"/>
      <c r="J47" s="353"/>
      <c r="K47" s="70"/>
      <c r="L47" s="352"/>
      <c r="M47" s="352"/>
    </row>
    <row r="48" spans="1:14" x14ac:dyDescent="0.25">
      <c r="B48" s="72"/>
      <c r="L48" s="352"/>
      <c r="M48" s="352"/>
    </row>
    <row r="49" spans="1:14" x14ac:dyDescent="0.25">
      <c r="A49" s="70"/>
      <c r="B49" s="69"/>
      <c r="C49" s="69"/>
      <c r="D49" s="73"/>
      <c r="E49" s="69"/>
      <c r="F49" s="69"/>
      <c r="G49" s="69"/>
      <c r="H49" s="69"/>
      <c r="I49" s="69"/>
      <c r="J49" s="69"/>
      <c r="K49" s="70"/>
      <c r="L49" s="352"/>
      <c r="M49" s="352"/>
    </row>
    <row r="50" spans="1:14" x14ac:dyDescent="0.25">
      <c r="A50" s="357" t="s">
        <v>124</v>
      </c>
      <c r="B50" s="357"/>
      <c r="C50" s="66"/>
      <c r="D50" s="66"/>
      <c r="E50" s="66"/>
      <c r="F50" s="66"/>
      <c r="G50" s="66"/>
      <c r="H50" s="66"/>
      <c r="I50" s="66"/>
      <c r="J50" s="66"/>
      <c r="K50" s="70"/>
      <c r="L50" s="352"/>
      <c r="M50" s="352"/>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4" t="s">
        <v>290</v>
      </c>
      <c r="F3" s="355"/>
      <c r="G3" s="355"/>
      <c r="H3" s="355"/>
      <c r="I3" s="355"/>
      <c r="J3" s="355"/>
      <c r="K3" s="355"/>
      <c r="L3" s="355"/>
      <c r="M3" s="355"/>
      <c r="N3" s="355"/>
    </row>
    <row r="4" spans="3:15" x14ac:dyDescent="0.25">
      <c r="C4" s="37"/>
      <c r="D4" s="39"/>
      <c r="E4" s="40">
        <v>2020</v>
      </c>
      <c r="F4" s="40">
        <v>2030</v>
      </c>
      <c r="G4" s="40">
        <v>2040</v>
      </c>
      <c r="H4" s="40">
        <v>2050</v>
      </c>
      <c r="I4" s="356" t="s">
        <v>73</v>
      </c>
      <c r="J4" s="356"/>
      <c r="K4" s="356" t="s">
        <v>74</v>
      </c>
      <c r="L4" s="356"/>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2"/>
      <c r="D43" s="352"/>
      <c r="E43" s="352"/>
      <c r="F43" s="352"/>
      <c r="G43" s="352"/>
      <c r="H43" s="352"/>
      <c r="I43" s="352"/>
      <c r="J43" s="352"/>
      <c r="K43" s="352"/>
      <c r="L43" s="69"/>
      <c r="M43" s="70"/>
      <c r="N43" s="352"/>
      <c r="O43" s="352"/>
    </row>
    <row r="44" spans="3:15" x14ac:dyDescent="0.25">
      <c r="C44" s="70"/>
      <c r="E44" s="352"/>
      <c r="F44" s="353"/>
      <c r="G44" s="353"/>
      <c r="H44" s="353"/>
      <c r="I44" s="353"/>
      <c r="J44" s="353"/>
      <c r="K44" s="353"/>
      <c r="L44" s="353"/>
      <c r="M44" s="353"/>
      <c r="N44" s="352"/>
      <c r="O44" s="352"/>
    </row>
    <row r="45" spans="3:15" x14ac:dyDescent="0.25">
      <c r="C45" s="71"/>
      <c r="D45" s="352"/>
      <c r="E45" s="353"/>
      <c r="F45" s="353"/>
      <c r="G45" s="353"/>
      <c r="H45" s="353"/>
      <c r="I45" s="353"/>
      <c r="J45" s="353"/>
      <c r="K45" s="353"/>
      <c r="L45" s="353"/>
      <c r="M45" s="70"/>
      <c r="N45" s="352"/>
      <c r="O45" s="352"/>
    </row>
    <row r="46" spans="3:15" x14ac:dyDescent="0.25">
      <c r="C46" s="70"/>
      <c r="E46" s="352"/>
      <c r="F46" s="353"/>
      <c r="G46" s="353"/>
      <c r="H46" s="353"/>
      <c r="I46" s="353"/>
      <c r="J46" s="353"/>
      <c r="K46" s="353"/>
      <c r="L46" s="353"/>
      <c r="M46" s="353"/>
      <c r="N46" s="352"/>
      <c r="O46" s="352"/>
    </row>
    <row r="47" spans="3:15" x14ac:dyDescent="0.25">
      <c r="C47" s="70"/>
      <c r="D47" s="352"/>
      <c r="E47" s="353"/>
      <c r="F47" s="353"/>
      <c r="G47" s="353"/>
      <c r="H47" s="353"/>
      <c r="I47" s="353"/>
      <c r="J47" s="353"/>
      <c r="K47" s="353"/>
      <c r="L47" s="353"/>
      <c r="M47" s="70"/>
      <c r="N47" s="352"/>
      <c r="O47" s="352"/>
    </row>
    <row r="48" spans="3:15" x14ac:dyDescent="0.25">
      <c r="D48" s="72"/>
      <c r="N48" s="352"/>
      <c r="O48" s="352"/>
    </row>
    <row r="49" spans="3:15" x14ac:dyDescent="0.25">
      <c r="C49" s="70"/>
      <c r="D49" s="69"/>
      <c r="E49" s="69"/>
      <c r="F49" s="73"/>
      <c r="G49" s="69"/>
      <c r="H49" s="69"/>
      <c r="I49" s="69"/>
      <c r="J49" s="69"/>
      <c r="K49" s="69"/>
      <c r="L49" s="69"/>
      <c r="M49" s="70"/>
      <c r="N49" s="352"/>
      <c r="O49" s="352"/>
    </row>
    <row r="50" spans="3:15" x14ac:dyDescent="0.25">
      <c r="C50" s="357" t="s">
        <v>124</v>
      </c>
      <c r="D50" s="357"/>
      <c r="E50" s="66"/>
      <c r="F50" s="66"/>
      <c r="G50" s="66"/>
      <c r="H50" s="66"/>
      <c r="I50" s="66"/>
      <c r="J50" s="66"/>
      <c r="K50" s="66"/>
      <c r="L50" s="66"/>
      <c r="M50" s="70"/>
      <c r="N50" s="352"/>
      <c r="O50" s="352"/>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4" t="s">
        <v>269</v>
      </c>
      <c r="E2" s="355"/>
      <c r="F2" s="355"/>
      <c r="G2" s="355"/>
      <c r="H2" s="355"/>
      <c r="I2" s="355"/>
      <c r="J2" s="355"/>
      <c r="K2" s="355"/>
      <c r="L2" s="355"/>
      <c r="M2" s="355"/>
    </row>
    <row r="3" spans="2:14" x14ac:dyDescent="0.25">
      <c r="B3" s="37"/>
      <c r="C3" s="39"/>
      <c r="D3" s="40">
        <v>2020</v>
      </c>
      <c r="E3" s="40">
        <v>2030</v>
      </c>
      <c r="F3" s="40">
        <v>2040</v>
      </c>
      <c r="G3" s="40">
        <v>2050</v>
      </c>
      <c r="H3" s="356" t="s">
        <v>73</v>
      </c>
      <c r="I3" s="356"/>
      <c r="J3" s="356" t="s">
        <v>74</v>
      </c>
      <c r="K3" s="356"/>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2"/>
      <c r="C41" s="352"/>
      <c r="D41" s="352"/>
      <c r="E41" s="352"/>
      <c r="F41" s="352"/>
      <c r="G41" s="352"/>
      <c r="H41" s="352"/>
      <c r="I41" s="352"/>
      <c r="J41" s="352"/>
      <c r="K41" s="69"/>
      <c r="L41" s="70"/>
      <c r="M41" s="352"/>
      <c r="N41" s="352"/>
    </row>
    <row r="42" spans="2:14" x14ac:dyDescent="0.25">
      <c r="B42" s="70"/>
      <c r="D42" s="352"/>
      <c r="E42" s="353"/>
      <c r="F42" s="353"/>
      <c r="G42" s="353"/>
      <c r="H42" s="353"/>
      <c r="I42" s="353"/>
      <c r="J42" s="353"/>
      <c r="K42" s="353"/>
      <c r="L42" s="353"/>
      <c r="M42" s="352"/>
      <c r="N42" s="352"/>
    </row>
    <row r="43" spans="2:14" x14ac:dyDescent="0.25">
      <c r="B43" s="71"/>
      <c r="C43" s="352"/>
      <c r="D43" s="353"/>
      <c r="E43" s="353"/>
      <c r="F43" s="353"/>
      <c r="G43" s="353"/>
      <c r="H43" s="353"/>
      <c r="I43" s="353"/>
      <c r="J43" s="353"/>
      <c r="K43" s="353"/>
      <c r="L43" s="70"/>
      <c r="M43" s="352"/>
      <c r="N43" s="352"/>
    </row>
    <row r="44" spans="2:14" x14ac:dyDescent="0.25">
      <c r="B44" s="70"/>
      <c r="D44" s="352"/>
      <c r="E44" s="353"/>
      <c r="F44" s="353"/>
      <c r="G44" s="353"/>
      <c r="H44" s="353"/>
      <c r="I44" s="353"/>
      <c r="J44" s="353"/>
      <c r="K44" s="353"/>
      <c r="L44" s="353"/>
      <c r="M44" s="352"/>
      <c r="N44" s="352"/>
    </row>
    <row r="45" spans="2:14" x14ac:dyDescent="0.25">
      <c r="B45" s="70"/>
      <c r="C45" s="352"/>
      <c r="D45" s="353"/>
      <c r="E45" s="353"/>
      <c r="F45" s="353"/>
      <c r="G45" s="353"/>
      <c r="H45" s="353"/>
      <c r="I45" s="353"/>
      <c r="J45" s="353"/>
      <c r="K45" s="353"/>
      <c r="L45" s="70"/>
      <c r="M45" s="352"/>
      <c r="N45" s="352"/>
    </row>
    <row r="46" spans="2:14" x14ac:dyDescent="0.25">
      <c r="C46" s="72"/>
      <c r="M46" s="352"/>
      <c r="N46" s="352"/>
    </row>
    <row r="47" spans="2:14" x14ac:dyDescent="0.25">
      <c r="B47" s="70"/>
      <c r="C47" s="69"/>
      <c r="D47" s="69"/>
      <c r="E47" s="73"/>
      <c r="F47" s="69"/>
      <c r="G47" s="69"/>
      <c r="H47" s="69"/>
      <c r="I47" s="69"/>
      <c r="J47" s="69"/>
      <c r="K47" s="69"/>
      <c r="L47" s="70"/>
      <c r="M47" s="352"/>
      <c r="N47" s="352"/>
    </row>
    <row r="48" spans="2:14" x14ac:dyDescent="0.25">
      <c r="B48" s="357" t="s">
        <v>124</v>
      </c>
      <c r="C48" s="357"/>
      <c r="D48" s="66"/>
      <c r="E48" s="66"/>
      <c r="F48" s="66"/>
      <c r="G48" s="66"/>
      <c r="H48" s="66"/>
      <c r="I48" s="66"/>
      <c r="J48" s="66"/>
      <c r="K48" s="66"/>
      <c r="L48" s="70"/>
      <c r="M48" s="352"/>
      <c r="N48" s="352"/>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8" t="s">
        <v>368</v>
      </c>
      <c r="D3" s="358"/>
      <c r="E3" s="358"/>
      <c r="F3" s="358"/>
      <c r="G3" s="358"/>
      <c r="H3" s="358"/>
      <c r="I3" s="358"/>
      <c r="J3" s="358"/>
      <c r="K3" s="358"/>
      <c r="L3" s="358"/>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59" t="s">
        <v>391</v>
      </c>
      <c r="D2" s="360"/>
      <c r="E2" s="360"/>
      <c r="F2" s="360"/>
      <c r="G2" s="360"/>
      <c r="H2" s="360"/>
      <c r="I2" s="360"/>
      <c r="J2" s="360"/>
      <c r="K2" s="360"/>
      <c r="L2" s="360"/>
      <c r="M2" s="360"/>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23" zoomScale="78" workbookViewId="0">
      <selection activeCell="O12" sqref="O12:R14"/>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1" t="s">
        <v>429</v>
      </c>
      <c r="C1" s="362"/>
      <c r="D1" s="362"/>
      <c r="E1" s="362"/>
      <c r="F1" s="362"/>
      <c r="G1" s="362"/>
      <c r="H1" s="362"/>
      <c r="I1" s="362"/>
      <c r="J1" s="362"/>
      <c r="K1" s="362"/>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55" workbookViewId="0">
      <selection activeCell="O14" sqref="O14"/>
    </sheetView>
  </sheetViews>
  <sheetFormatPr defaultRowHeight="13.2" x14ac:dyDescent="0.25"/>
  <cols>
    <col min="1" max="1" width="47.5546875" customWidth="1"/>
  </cols>
  <sheetData>
    <row r="1" spans="1:26" ht="15" thickBot="1" x14ac:dyDescent="0.35">
      <c r="A1" s="103"/>
      <c r="N1" s="379" t="s">
        <v>526</v>
      </c>
      <c r="O1" s="381" t="s">
        <v>527</v>
      </c>
      <c r="P1" s="381"/>
      <c r="Q1" s="381"/>
      <c r="R1" s="381"/>
      <c r="S1" s="381"/>
      <c r="T1" s="381"/>
      <c r="U1" s="381"/>
      <c r="V1" s="381"/>
      <c r="W1" s="381"/>
      <c r="X1" s="381"/>
      <c r="Y1" s="381"/>
      <c r="Z1" s="382"/>
    </row>
    <row r="2" spans="1:26" ht="15" thickBot="1" x14ac:dyDescent="0.35">
      <c r="A2" s="249" t="s">
        <v>71</v>
      </c>
      <c r="B2" s="383" t="s">
        <v>528</v>
      </c>
      <c r="C2" s="384"/>
      <c r="D2" s="384"/>
      <c r="E2" s="384"/>
      <c r="F2" s="384"/>
      <c r="G2" s="384"/>
      <c r="H2" s="384"/>
      <c r="I2" s="384"/>
      <c r="J2" s="384"/>
      <c r="K2" s="385"/>
      <c r="N2" s="380"/>
      <c r="O2" s="386" t="s">
        <v>529</v>
      </c>
      <c r="P2" s="387"/>
      <c r="Q2" s="387"/>
      <c r="R2" s="388"/>
      <c r="S2" s="387" t="s">
        <v>530</v>
      </c>
      <c r="T2" s="387"/>
      <c r="U2" s="387"/>
      <c r="V2" s="387"/>
      <c r="W2" s="386" t="s">
        <v>531</v>
      </c>
      <c r="X2" s="387"/>
      <c r="Y2" s="387"/>
      <c r="Z2" s="389"/>
    </row>
    <row r="3" spans="1:26" ht="13.8" thickBot="1" x14ac:dyDescent="0.3">
      <c r="A3" s="377" t="s">
        <v>77</v>
      </c>
      <c r="B3" s="365">
        <v>2020</v>
      </c>
      <c r="C3" s="365">
        <v>2030</v>
      </c>
      <c r="D3" s="365">
        <v>2040</v>
      </c>
      <c r="E3" s="365">
        <v>2050</v>
      </c>
      <c r="F3" s="376">
        <v>2030</v>
      </c>
      <c r="G3" s="364"/>
      <c r="H3" s="363">
        <v>2050</v>
      </c>
      <c r="I3" s="364"/>
      <c r="J3" s="365" t="s">
        <v>75</v>
      </c>
      <c r="K3" s="365"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8"/>
      <c r="B4" s="366"/>
      <c r="C4" s="366"/>
      <c r="D4" s="366"/>
      <c r="E4" s="366"/>
      <c r="F4" s="253" t="s">
        <v>78</v>
      </c>
      <c r="G4" s="253" t="s">
        <v>79</v>
      </c>
      <c r="H4" s="253" t="s">
        <v>78</v>
      </c>
      <c r="I4" s="253" t="s">
        <v>79</v>
      </c>
      <c r="J4" s="366"/>
      <c r="K4" s="366"/>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67" t="s">
        <v>557</v>
      </c>
      <c r="C18" s="368"/>
      <c r="D18" s="368"/>
      <c r="E18" s="369"/>
      <c r="F18" s="286"/>
      <c r="G18" s="286"/>
      <c r="H18" s="286"/>
      <c r="I18" s="286"/>
      <c r="J18" s="278"/>
      <c r="K18" s="279"/>
    </row>
    <row r="19" spans="1:11" x14ac:dyDescent="0.25">
      <c r="A19" s="262" t="s">
        <v>558</v>
      </c>
      <c r="B19" s="370"/>
      <c r="C19" s="371"/>
      <c r="D19" s="371"/>
      <c r="E19" s="372"/>
      <c r="F19" s="286"/>
      <c r="G19" s="286"/>
      <c r="H19" s="286"/>
      <c r="I19" s="286"/>
      <c r="J19" s="278"/>
      <c r="K19" s="279"/>
    </row>
    <row r="20" spans="1:11" ht="15.6" x14ac:dyDescent="0.25">
      <c r="A20" s="262" t="s">
        <v>559</v>
      </c>
      <c r="B20" s="370"/>
      <c r="C20" s="371"/>
      <c r="D20" s="371"/>
      <c r="E20" s="372"/>
      <c r="F20" s="286"/>
      <c r="G20" s="286"/>
      <c r="H20" s="286"/>
      <c r="I20" s="286"/>
      <c r="J20" s="278"/>
      <c r="K20" s="279"/>
    </row>
    <row r="21" spans="1:11" x14ac:dyDescent="0.25">
      <c r="A21" s="262" t="s">
        <v>560</v>
      </c>
      <c r="B21" s="370"/>
      <c r="C21" s="371"/>
      <c r="D21" s="371"/>
      <c r="E21" s="372"/>
      <c r="F21" s="286"/>
      <c r="G21" s="286"/>
      <c r="H21" s="286"/>
      <c r="I21" s="286"/>
      <c r="J21" s="278"/>
      <c r="K21" s="279"/>
    </row>
    <row r="22" spans="1:11" ht="13.8" thickBot="1" x14ac:dyDescent="0.3">
      <c r="A22" s="287" t="s">
        <v>561</v>
      </c>
      <c r="B22" s="370"/>
      <c r="C22" s="371"/>
      <c r="D22" s="371"/>
      <c r="E22" s="372"/>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73" t="s">
        <v>557</v>
      </c>
      <c r="C38" s="374"/>
      <c r="D38" s="374"/>
      <c r="E38" s="375"/>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9"/>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9" t="s">
        <v>674</v>
      </c>
      <c r="S36">
        <f>S34*P37</f>
        <v>169.2</v>
      </c>
      <c r="T36" t="s">
        <v>517</v>
      </c>
      <c r="U36" s="15"/>
    </row>
    <row r="37" spans="16:24" x14ac:dyDescent="0.25">
      <c r="P37" s="16">
        <v>3.5999999999999999E-3</v>
      </c>
      <c r="Q37" s="339"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zoomScale="44" workbookViewId="0">
      <selection activeCell="L26" sqref="L26:N3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A5"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9" t="s">
        <v>674</v>
      </c>
    </row>
    <row r="48" spans="2:25" x14ac:dyDescent="0.25">
      <c r="P48">
        <v>1</v>
      </c>
      <c r="Q48" t="s">
        <v>680</v>
      </c>
      <c r="R48">
        <f>R46/P50</f>
        <v>1494.8901935203305</v>
      </c>
      <c r="S48" t="s">
        <v>682</v>
      </c>
      <c r="T48" s="16">
        <v>3.5999999999999999E-3</v>
      </c>
      <c r="U48" s="339"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D16" sqref="D16"/>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9" t="s">
        <v>674</v>
      </c>
    </row>
    <row r="36" spans="2:27" x14ac:dyDescent="0.25">
      <c r="Q36">
        <v>1</v>
      </c>
      <c r="R36" t="s">
        <v>680</v>
      </c>
      <c r="S36">
        <f>S34/Q38</f>
        <v>1691.1889058007778</v>
      </c>
      <c r="T36" t="s">
        <v>684</v>
      </c>
      <c r="U36" s="16">
        <v>3.5999999999999999E-3</v>
      </c>
      <c r="V36" s="339"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Sheet1</vt:lpstr>
      <vt:lpstr>Sheet2</vt:lpstr>
      <vt:lpstr>Sheet3</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2024-02-13T09:46:35Z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